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 D\Năm 2025\Chính sách vượt trội cho đối tượng tinh giản do dôi dư\Bước 2-Soạn thảo ĐA và NQ\"/>
    </mc:Choice>
  </mc:AlternateContent>
  <bookViews>
    <workbookView xWindow="-120" yWindow="-120" windowWidth="23250" windowHeight="13170" activeTab="1"/>
  </bookViews>
  <sheets>
    <sheet name="Nghỉ hưu trước tuổi" sheetId="11" r:id="rId1"/>
    <sheet name="Thôi việc" sheetId="12" r:id="rId2"/>
  </sheets>
  <definedNames>
    <definedName name="_xlnm._FilterDatabase" localSheetId="0" hidden="1">'Nghỉ hưu trước tuổi'!$A$8:$M$16</definedName>
    <definedName name="_xlnm._FilterDatabase" localSheetId="1" hidden="1">'Thôi việc'!$A$7:$I$10</definedName>
    <definedName name="_xlnm.Print_Titles" localSheetId="0">'Nghỉ hưu trước tuổi'!$5:$5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2" l="1"/>
  <c r="E10" i="12"/>
  <c r="F10" i="12"/>
  <c r="C10" i="12"/>
  <c r="M28" i="11" l="1"/>
  <c r="N17" i="11"/>
  <c r="N16" i="11"/>
  <c r="N13" i="11"/>
  <c r="N8" i="11"/>
  <c r="N10" i="11"/>
  <c r="N9" i="11"/>
  <c r="M35" i="11" l="1"/>
  <c r="J8" i="11" l="1"/>
  <c r="J10" i="11" s="1"/>
  <c r="G8" i="11"/>
  <c r="G10" i="11" s="1"/>
  <c r="C10" i="11" s="1"/>
  <c r="D8" i="11"/>
  <c r="J9" i="11" l="1"/>
  <c r="C9" i="11" s="1"/>
  <c r="T7" i="11"/>
  <c r="T8" i="11" s="1"/>
  <c r="R9" i="11"/>
  <c r="R7" i="11"/>
  <c r="R5" i="11"/>
  <c r="R6" i="11" s="1"/>
  <c r="C16" i="11" l="1"/>
  <c r="C13" i="11"/>
  <c r="E9" i="11"/>
  <c r="F9" i="11" s="1"/>
  <c r="F8" i="11" l="1"/>
  <c r="K16" i="11"/>
  <c r="H16" i="11"/>
  <c r="H9" i="11"/>
  <c r="F17" i="11" l="1"/>
  <c r="I10" i="12"/>
  <c r="G10" i="12" l="1"/>
  <c r="D10" i="12"/>
  <c r="L16" i="11"/>
  <c r="I16" i="11"/>
  <c r="K13" i="11"/>
  <c r="H13" i="11"/>
  <c r="K9" i="11"/>
  <c r="I9" i="11"/>
  <c r="J10" i="12" l="1"/>
  <c r="K10" i="12" s="1"/>
  <c r="M16" i="11"/>
  <c r="L9" i="11"/>
  <c r="I13" i="11"/>
  <c r="H10" i="11"/>
  <c r="I10" i="11" s="1"/>
  <c r="L13" i="11"/>
  <c r="K10" i="11"/>
  <c r="L10" i="11" s="1"/>
  <c r="M13" i="11" l="1"/>
  <c r="I8" i="11"/>
  <c r="M10" i="11"/>
  <c r="M9" i="11"/>
  <c r="I17" i="11"/>
  <c r="L8" i="11"/>
  <c r="L17" i="11" s="1"/>
  <c r="M8" i="11" l="1"/>
  <c r="M17" i="11" s="1"/>
</calcChain>
</file>

<file path=xl/sharedStrings.xml><?xml version="1.0" encoding="utf-8"?>
<sst xmlns="http://schemas.openxmlformats.org/spreadsheetml/2006/main" count="88" uniqueCount="43">
  <si>
    <t>STT</t>
  </si>
  <si>
    <t>I</t>
  </si>
  <si>
    <t>II</t>
  </si>
  <si>
    <t>Tổng số</t>
  </si>
  <si>
    <t>Ghi chú</t>
  </si>
  <si>
    <t>Nghỉ trong thời hạn 12 tháng</t>
  </si>
  <si>
    <t>Nghỉ từ tháng thứ 13 trở đi</t>
  </si>
  <si>
    <t>III</t>
  </si>
  <si>
    <t>Trợ cấp theo thời gian công tác có đóng bảo hiểm xã hội bắt buộc</t>
  </si>
  <si>
    <t>Trợ cấp theo số năm nghỉ sớm</t>
  </si>
  <si>
    <t>Trợ cấp thôi việc</t>
  </si>
  <si>
    <t>Chính sách nghỉ hưu trước tuổi</t>
  </si>
  <si>
    <t>Trợ cấp hưu trí 1 lần</t>
  </si>
  <si>
    <t>Tổng cộng</t>
  </si>
  <si>
    <t>Tổng kinh phí dự kiến thực hiện theo NĐ số 178</t>
  </si>
  <si>
    <t>Số lượng người dự kiến được hưởng (người)</t>
  </si>
  <si>
    <t>Tổng số
(người)</t>
  </si>
  <si>
    <t>Số lượng (người)</t>
  </si>
  <si>
    <t>Kinh phí dự kiến/người (nghìn đồng)</t>
  </si>
  <si>
    <t>Kinh phí dự kiến thực hiện
(nghìn đồng)</t>
  </si>
  <si>
    <t>Tổng kinh phí dự kiến (nghìn đồng)</t>
  </si>
  <si>
    <t>Trợ cấp cho mỗi năm công tác đóng BHXHBB (nghìn đồng)</t>
  </si>
  <si>
    <t>Tổng cộng chính sách nghỉ hưu trước tuổi</t>
  </si>
  <si>
    <t>Tổng kinh phí dự kiến thực hiện
(nghìn đồng)</t>
  </si>
  <si>
    <t>Dự kiến còn 05 năm đến tuổi nghỉ hưu</t>
  </si>
  <si>
    <t>Dự kiến còn 10 năm đến tuổi nghỉ hưu</t>
  </si>
  <si>
    <t>Dự kiến còn dưới 02 năm đến tuổi nghỉ hưu</t>
  </si>
  <si>
    <t>Không được hưởng</t>
  </si>
  <si>
    <t>Dự kiến còn đủ 05 năm đến tuổi nghỉ hưu</t>
  </si>
  <si>
    <t>Dự kiến còn đủ 10 năm đến tuổi nghỉ hưu</t>
  </si>
  <si>
    <t>Dự kiến có 30 năm công tác đóng BHXHBB
(dự kiến đối với người còn đủ 05 năm đến tuổi nghỉ hưu)</t>
  </si>
  <si>
    <t>Dự kiến có 25 năm công tác đóng BHXHBB
(dự kiến đối với người còn đủ 10 năm đến tuổi nghỉ hưu)</t>
  </si>
  <si>
    <t>Dự kiến có 33 năm công tác đóng BHXHBB
(dự kiến đối với người còn dưới 2 năm đến tuổi nghỉ hưu)</t>
  </si>
  <si>
    <t xml:space="preserve">BIỂU DỰ KIẾN KINH PHÍ HỖ TRỢ NGHỈ HƯU TRƯỚC TUỔI
DO SẮP XẾP TỔ CHỨC BỘ MÁY KHỐI GIÁO DỤC, Y TẾ 
</t>
  </si>
  <si>
    <t xml:space="preserve">- Số được giao là 30349 người; số có mặt là khoảng 29200 người; như vậy số chưa sử dụng là khoảng 1149 người (chiếm khoảng 3,8% số người được giao); như vậy số người dự kiến phải giảm để tính kinh phí là khoảng 16,2% số được giao; ước tính khoảng 16,2% x 30349 người (khoảng 4920 người, bao gồm cả viên chức khối Đảng, đoàn thể ); trong đó:
+ Dự kiến người nghỉ hưu trước tuổi là 3690 người (chiếm khoảng 75% số viên chức phải giảm); trong đó dự kiến số người còn dưới 02 năm đến tuổi nghỉ hưu chiếm khoảng 16%, số người còn từ đủ 2 năm đến đủ 5 năm đến tuổi nghỉ hưu chiếm khoảng 24%, số người còn từ đủ 5 năm đến đủ 10 năm đến tuổi nghỉ hưu chiếm khoảng 60%.
+ Dự kiến người nghỉ thôi việc là 1230 người (chiếm khoảng 25% số  viên chức phải giảm)
</t>
  </si>
  <si>
    <t>Số người dự kiến nghỉ hưu trước tuổi trong thời hạn 12 tháng kể từ khi có quyết định sắp xếp tổ chức bộ máy của cấp có thẩm quyền dự kiến là 2450 người; trong đó số người có tuổi trung bình còn 23 tháng đến tuổi nghỉ hưu dự kiến 100% nghỉ ngay (khoảng 590 người, lương tháng hiện hưởng dự kiến là 18 triệu đồng/người/tháng; số người có tuổi trung bình đủ 5 tuổi đến tuổi nghỉ hưu chiếm khoảng 532 người (tạm tính khoảng 3/5 tổng số người có tuổi trung bình còn đủ 5 tuổi đến tuổi nghỉ hưu), lương tháng hiện hưởng dự kiến 15 triệu đồng/ người/ tháng và số người trung bình đủ 10 tuổi đến tuổi nghỉ hưu khoảng 1328 người (tạm tính khoảng 3/5 tổng số người còn đủ 10 tuổi đến tuổi nghỉ hưu), lương tháng hiện hưởng dự kiến 12 triệu đồng/ người/ tháng)</t>
  </si>
  <si>
    <t>Số người dự kiến nghỉ hưu trước tuổi từ tháng thứ 13 trở đi kể từ khi có quyết định sắp xếp tổ chức bộ máy của cấp có thẩm quyền dự kiến là 1240 người; trong đó số người có tuổi trung bình đủ 5 tuổi đến tuổi nghỉ hưu là khoảng 354 người (tạm tính khoảng 2/5 tổng số người có tuổi trung bình còn đủ 10 tuổi đến tuổi nghỉ hưu) , lương tháng hiện hưởng dự kiến 15 triệu đồng/ người/ tháng) và số người trung bình đủ 10 tuổi đến tuổi nghỉ hưu là khoảng 886 người  (tạm tính khoảng 2/5 tổng số người có tuổi trung bình còn đủ 10 tuổi đến tuổi nghỉ hưu), lương tháng hiện hưởng dự kiến 12 triệu đồng/ người/ tháng)</t>
  </si>
  <si>
    <t>Số người dự kiến nghỉ hưu trước tuổi có 33 năm công tác đóng BHXHBB là khoảng 590 người, lương tháng hiện hưởng dự kiến 18 triệu đồng/người/tháng; số người dự kiến nghỉ trước tuổi có 30 năm công tác đóng BHXHBB khoảng 886 người, lương tháng hiện hưởng dự kiến 15 triệu đồng/người/tháng); số người dự kiến nghỉ hưu trước tuổi có 25 năm công tác đóng BHXHBB là khoảng 2214 người, lương tháng hiện hưởng dự kiến 12 triệu đồng/người/tháng)</t>
  </si>
  <si>
    <t>Số người dự kiến còn dưới 2 năm tháng đến tuổi nghỉ hưu là khoảng 590 người, lương tháng hiện hưởng dự kiến là 18 triệu đồng/người/tháng; số người dự kiến còn đủ 5 năm đến tuổi nghỉ hưu là khoảng 886 người, lương tháng hiện hưởng dự kiến 15 triệu đồng/người/tháng); số người dự kiến nghỉ hưu trước tuổi còn đủ 10 năm đến tuổi nghỉ hưu là khoảng 2214 người, lương tháng hiện hưởng dự kiến 12 triệu đồng/người/tháng)</t>
  </si>
  <si>
    <t>- Số được giao là 30349 người; số có mặt là khoảng 29200 người; như vậy số chưa sử dụng là khoảng 1149 người (chiếm khoảng 3,8% số người được giao); như vậy số người dự kiến phải giảm để tính kinh phí là khoảng 16,2% số được giao; ước tính khoảng 16,2% x 30349 người (khoảng 4920 người, bao gồm cả viên chức khối Đảng, đoàn thể ); trong đó:
+ Dự kiến người nghỉ hưu trước tuổi là 3690 người (chiếm khoảng 75% số viên chức phải giảm); trong đó dự kiến số người còn dưới 02 năm đến tuổi nghỉ hưu chiếm khoảng 16%, số người còn từ đủ 2 năm đến đủ 5 năm đến tuổi nghỉ hưu chiếm khoảng 24%, số người còn từ đủ 5 năm đến đủ 10 năm đến tuổi nghỉ hưu chiếm khoảng 60%.
+ Dự kiến người nghỉ thôi việc là 1230 người (chiếm khoảng 25% số  viên chức phải giảm)</t>
  </si>
  <si>
    <t xml:space="preserve">BIỂU DỰ KIẾN KINH PHÍ HỖ TRỢ NGHỈ THÔI VIỆC
DO SẮP XẾP TỔ CHỨC BỘ MÁY KHỐI GIÁO DỤC, Y TẾ </t>
  </si>
  <si>
    <t>Kinh phí hỗ trợ của thành phố (nghìn đồng)</t>
  </si>
  <si>
    <t>Số người dự kiến nghỉ hưu trước tuổi trong thời hạn 12 tháng kể từ khi có quyết định sắp xếp tổ chức bộ máy của cấp có thẩm quyền dự kiến chiếm khoảng 55% số lượng người nghỉ trong 5 năm, tạm tính 665 người; Số người dự kiến nghỉ hưu trước tuổi từ tháng thứ 13 trở đi kể từ khi có quyết định sắp xếp tổ chức bộ máy của cấp có thẩm quyền dự kiến chiếm khoảng 45% số lượng người nghỉ trong 5 năm, tạm tính 565 người; dự kiến lương tháng hiện hưởng là 11 triệu đồng/người/tháng; thời gian đóng BHXHBB dự kiến là 14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</si>
</sst>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sz val="10"/>
      <name val="Arial"/>
      <family val="2"/>
      <charset val="163"/>
    </font>
    <font>
      <sz val="11"/>
      <name val="Times New Roman"/>
      <family val="1"/>
    </font>
    <font>
      <b/>
      <sz val="11"/>
      <name val="Times New Roman"/>
      <family val="1"/>
    </font>
    <font>
      <b/>
      <sz val="13"/>
      <color theme="1"/>
      <name val="Times New Roman"/>
      <family val="1"/>
    </font>
    <font>
      <sz val="13"/>
      <color theme="1"/>
      <name val="Times New Roman"/>
      <family val="1"/>
    </font>
    <font>
      <b/>
      <sz val="14"/>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4" fillId="0" borderId="0"/>
  </cellStyleXfs>
  <cellXfs count="67">
    <xf numFmtId="0" fontId="0" fillId="0" borderId="0" xfId="0"/>
    <xf numFmtId="0" fontId="2"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3" xfId="0" applyFont="1" applyBorder="1" applyAlignment="1">
      <alignment horizontal="left" vertical="center" wrapText="1"/>
    </xf>
    <xf numFmtId="0" fontId="0" fillId="0" borderId="0" xfId="0" applyAlignment="1">
      <alignment horizontal="center" vertical="center" wrapText="1"/>
    </xf>
    <xf numFmtId="37" fontId="6" fillId="0" borderId="1" xfId="1" applyNumberFormat="1" applyFont="1" applyBorder="1" applyAlignment="1">
      <alignment horizontal="center" vertical="center" wrapText="1"/>
    </xf>
    <xf numFmtId="0" fontId="3" fillId="0" borderId="3" xfId="0" applyFont="1" applyBorder="1" applyAlignment="1">
      <alignment horizontal="left" vertical="center" wrapText="1"/>
    </xf>
    <xf numFmtId="37" fontId="5"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0" xfId="0" applyFont="1"/>
    <xf numFmtId="0" fontId="7" fillId="0" borderId="0" xfId="0" applyFont="1" applyAlignment="1">
      <alignment horizontal="center" vertical="center" wrapText="1"/>
    </xf>
    <xf numFmtId="0" fontId="3" fillId="0" borderId="0" xfId="0" applyFont="1" applyAlignment="1">
      <alignment horizontal="right" vertical="center" wrapText="1"/>
    </xf>
    <xf numFmtId="0" fontId="2" fillId="0" borderId="1" xfId="0" quotePrefix="1" applyFont="1" applyBorder="1" applyAlignment="1">
      <alignment horizontal="left" vertical="center" wrapText="1"/>
    </xf>
    <xf numFmtId="0" fontId="7" fillId="0" borderId="0" xfId="0" applyFont="1" applyBorder="1" applyAlignment="1">
      <alignment horizontal="center" vertical="center" wrapText="1"/>
    </xf>
    <xf numFmtId="0" fontId="3" fillId="0" borderId="1" xfId="0" quotePrefix="1" applyFont="1" applyBorder="1" applyAlignment="1">
      <alignment horizontal="left" vertical="center" wrapText="1"/>
    </xf>
    <xf numFmtId="0" fontId="1" fillId="0" borderId="0" xfId="0" applyFont="1"/>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37" fontId="5" fillId="0" borderId="0" xfId="1" applyNumberFormat="1" applyFont="1" applyBorder="1" applyAlignment="1">
      <alignment horizontal="center" vertical="center" wrapText="1"/>
    </xf>
    <xf numFmtId="0" fontId="2" fillId="0" borderId="0" xfId="0" quotePrefix="1" applyFont="1" applyBorder="1" applyAlignment="1">
      <alignment horizontal="left" vertical="center" wrapText="1"/>
    </xf>
    <xf numFmtId="0" fontId="7" fillId="0" borderId="0" xfId="0" quotePrefix="1" applyFont="1" applyBorder="1" applyAlignment="1">
      <alignment horizontal="left" vertical="center" wrapText="1"/>
    </xf>
    <xf numFmtId="37" fontId="6" fillId="0" borderId="1" xfId="1" applyNumberFormat="1" applyFont="1" applyBorder="1" applyAlignment="1">
      <alignment vertical="center" wrapText="1"/>
    </xf>
    <xf numFmtId="37" fontId="3" fillId="0" borderId="1" xfId="0" applyNumberFormat="1" applyFont="1" applyBorder="1" applyAlignment="1">
      <alignment horizontal="center" vertical="center" wrapText="1"/>
    </xf>
    <xf numFmtId="0" fontId="1" fillId="0" borderId="0" xfId="0" quotePrefix="1" applyFont="1" applyAlignment="1">
      <alignment horizontal="center" vertical="center" wrapText="1"/>
    </xf>
    <xf numFmtId="37" fontId="6" fillId="0" borderId="1" xfId="1" applyNumberFormat="1" applyFont="1" applyBorder="1" applyAlignment="1">
      <alignment horizontal="center" vertical="center" wrapText="1"/>
    </xf>
    <xf numFmtId="37" fontId="5" fillId="0" borderId="1" xfId="1" applyNumberFormat="1" applyFont="1" applyBorder="1" applyAlignment="1">
      <alignment horizontal="center" vertical="center" wrapText="1"/>
    </xf>
    <xf numFmtId="37" fontId="0" fillId="0" borderId="0" xfId="0" applyNumberFormat="1"/>
    <xf numFmtId="37" fontId="6" fillId="0" borderId="1" xfId="1" applyNumberFormat="1" applyFont="1" applyBorder="1" applyAlignment="1">
      <alignment horizontal="center" vertical="center" wrapText="1"/>
    </xf>
    <xf numFmtId="37" fontId="5" fillId="0" borderId="1" xfId="1" applyNumberFormat="1" applyFont="1" applyBorder="1" applyAlignment="1">
      <alignment horizontal="center" vertical="center" wrapText="1"/>
    </xf>
    <xf numFmtId="0" fontId="3" fillId="0" borderId="0" xfId="0" applyFont="1" applyBorder="1" applyAlignment="1">
      <alignment horizontal="center" vertical="center" wrapText="1"/>
    </xf>
    <xf numFmtId="37" fontId="6" fillId="0" borderId="0" xfId="1" applyNumberFormat="1" applyFont="1" applyBorder="1" applyAlignment="1">
      <alignment horizontal="center" vertical="center" wrapText="1"/>
    </xf>
    <xf numFmtId="0" fontId="3" fillId="0" borderId="0"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7" xfId="0" quotePrefix="1" applyFont="1" applyBorder="1" applyAlignment="1">
      <alignment horizontal="left" vertical="center" wrapText="1"/>
    </xf>
    <xf numFmtId="37" fontId="6" fillId="0" borderId="1" xfId="1" applyNumberFormat="1" applyFont="1" applyBorder="1" applyAlignment="1">
      <alignment horizontal="center" vertical="center" wrapText="1"/>
    </xf>
    <xf numFmtId="37" fontId="5" fillId="0" borderId="1" xfId="1" applyNumberFormat="1" applyFont="1" applyBorder="1" applyAlignment="1">
      <alignment horizontal="center" vertical="center" wrapText="1"/>
    </xf>
    <xf numFmtId="0" fontId="7" fillId="0" borderId="0" xfId="0" applyFont="1" applyBorder="1" applyAlignment="1">
      <alignment horizontal="center" vertical="top"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8" fillId="0" borderId="0" xfId="0" quotePrefix="1" applyFont="1" applyBorder="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7" fillId="0" borderId="0" xfId="0" applyFont="1" applyBorder="1" applyAlignment="1">
      <alignment horizontal="center" vertical="center" wrapText="1"/>
    </xf>
    <xf numFmtId="0" fontId="9" fillId="0" borderId="0" xfId="0" applyFont="1" applyAlignment="1">
      <alignment horizontal="center" vertical="center" wrapText="1"/>
    </xf>
    <xf numFmtId="0" fontId="7" fillId="0" borderId="1" xfId="0" quotePrefix="1" applyFont="1" applyBorder="1" applyAlignment="1">
      <alignment horizontal="center" vertical="center" wrapText="1"/>
    </xf>
    <xf numFmtId="0" fontId="7" fillId="0" borderId="2" xfId="0" quotePrefix="1" applyFont="1" applyBorder="1" applyAlignment="1">
      <alignment horizontal="center" vertical="center" wrapText="1"/>
    </xf>
    <xf numFmtId="0" fontId="7" fillId="0" borderId="8" xfId="0" quotePrefix="1" applyFont="1" applyBorder="1" applyAlignment="1">
      <alignment horizontal="center" vertical="center" wrapText="1"/>
    </xf>
    <xf numFmtId="0" fontId="7" fillId="0" borderId="7" xfId="0" quotePrefix="1" applyFont="1" applyBorder="1" applyAlignment="1">
      <alignment horizontal="center" vertical="center" wrapText="1"/>
    </xf>
    <xf numFmtId="37" fontId="6" fillId="0" borderId="7" xfId="1" applyNumberFormat="1" applyFont="1" applyBorder="1" applyAlignment="1">
      <alignment horizontal="center" vertical="center" wrapText="1"/>
    </xf>
    <xf numFmtId="37" fontId="5" fillId="0" borderId="7" xfId="1" applyNumberFormat="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7" xfId="0" quotePrefix="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13" zoomScale="85" zoomScaleNormal="85" workbookViewId="0">
      <selection activeCell="B3" sqref="B3:O3"/>
    </sheetView>
  </sheetViews>
  <sheetFormatPr defaultRowHeight="15" x14ac:dyDescent="0.25"/>
  <cols>
    <col min="1" max="1" width="4.140625" style="3" customWidth="1"/>
    <col min="2" max="2" width="16.140625" style="2" customWidth="1"/>
    <col min="3" max="3" width="10" style="4" customWidth="1"/>
    <col min="4" max="4" width="8.5703125" style="4" customWidth="1"/>
    <col min="5" max="5" width="12.28515625" style="4" customWidth="1"/>
    <col min="6" max="6" width="14" style="4" customWidth="1"/>
    <col min="7" max="7" width="8.42578125" style="4" customWidth="1"/>
    <col min="8" max="8" width="12.5703125" style="4" customWidth="1"/>
    <col min="9" max="9" width="15.7109375" style="4" customWidth="1"/>
    <col min="10" max="10" width="9.42578125" style="4" customWidth="1"/>
    <col min="11" max="11" width="13.140625" style="4" customWidth="1"/>
    <col min="12" max="13" width="14.28515625" style="4" customWidth="1"/>
    <col min="14" max="14" width="15.7109375" style="4" customWidth="1"/>
    <col min="15" max="15" width="46.28515625" style="6" customWidth="1"/>
    <col min="18" max="18" width="40.140625" customWidth="1"/>
  </cols>
  <sheetData>
    <row r="1" spans="1:20" x14ac:dyDescent="0.25">
      <c r="O1" s="13"/>
    </row>
    <row r="2" spans="1:20" ht="39.75" customHeight="1" x14ac:dyDescent="0.25">
      <c r="A2" s="39" t="s">
        <v>33</v>
      </c>
      <c r="B2" s="39"/>
      <c r="C2" s="39"/>
      <c r="D2" s="39"/>
      <c r="E2" s="39"/>
      <c r="F2" s="39"/>
      <c r="G2" s="39"/>
      <c r="H2" s="39"/>
      <c r="I2" s="39"/>
      <c r="J2" s="39"/>
      <c r="K2" s="39"/>
      <c r="L2" s="39"/>
      <c r="M2" s="39"/>
      <c r="N2" s="39"/>
      <c r="O2" s="39"/>
    </row>
    <row r="3" spans="1:20" ht="125.25" customHeight="1" x14ac:dyDescent="0.25">
      <c r="A3" s="15"/>
      <c r="B3" s="42" t="s">
        <v>34</v>
      </c>
      <c r="C3" s="42"/>
      <c r="D3" s="42"/>
      <c r="E3" s="42"/>
      <c r="F3" s="42"/>
      <c r="G3" s="42"/>
      <c r="H3" s="42"/>
      <c r="I3" s="42"/>
      <c r="J3" s="42"/>
      <c r="K3" s="42"/>
      <c r="L3" s="42"/>
      <c r="M3" s="42"/>
      <c r="N3" s="42"/>
      <c r="O3" s="42"/>
      <c r="T3" s="28"/>
    </row>
    <row r="4" spans="1:20" ht="7.5" customHeight="1" x14ac:dyDescent="0.25">
      <c r="A4" s="12"/>
      <c r="B4" s="12"/>
      <c r="C4" s="12"/>
      <c r="D4" s="12"/>
      <c r="E4" s="12"/>
      <c r="F4" s="12"/>
      <c r="G4" s="12"/>
      <c r="H4" s="12"/>
      <c r="I4" s="12"/>
      <c r="J4" s="12"/>
      <c r="K4" s="12"/>
      <c r="L4" s="12"/>
      <c r="M4" s="12"/>
      <c r="N4" s="12"/>
      <c r="O4" s="12"/>
    </row>
    <row r="5" spans="1:20" ht="76.5" customHeight="1" x14ac:dyDescent="0.25">
      <c r="A5" s="10" t="s">
        <v>0</v>
      </c>
      <c r="B5" s="18" t="s">
        <v>11</v>
      </c>
      <c r="C5" s="18" t="s">
        <v>15</v>
      </c>
      <c r="D5" s="51" t="s">
        <v>14</v>
      </c>
      <c r="E5" s="52"/>
      <c r="F5" s="52"/>
      <c r="G5" s="52"/>
      <c r="H5" s="52"/>
      <c r="I5" s="52"/>
      <c r="J5" s="52"/>
      <c r="K5" s="52"/>
      <c r="L5" s="52"/>
      <c r="M5" s="53"/>
      <c r="N5" s="64" t="s">
        <v>41</v>
      </c>
      <c r="O5" s="43" t="s">
        <v>4</v>
      </c>
      <c r="R5">
        <f>30349-29200</f>
        <v>1149</v>
      </c>
    </row>
    <row r="6" spans="1:20" ht="25.5" customHeight="1" x14ac:dyDescent="0.25">
      <c r="A6" s="40" t="s">
        <v>1</v>
      </c>
      <c r="B6" s="47" t="s">
        <v>12</v>
      </c>
      <c r="C6" s="46" t="s">
        <v>16</v>
      </c>
      <c r="D6" s="37" t="s">
        <v>26</v>
      </c>
      <c r="E6" s="37"/>
      <c r="F6" s="37"/>
      <c r="G6" s="37" t="s">
        <v>28</v>
      </c>
      <c r="H6" s="37"/>
      <c r="I6" s="37"/>
      <c r="J6" s="37" t="s">
        <v>29</v>
      </c>
      <c r="K6" s="37"/>
      <c r="L6" s="37"/>
      <c r="M6" s="46" t="s">
        <v>20</v>
      </c>
      <c r="N6" s="46"/>
      <c r="O6" s="44"/>
      <c r="R6">
        <f>R5/30349</f>
        <v>3.7859567036805167E-2</v>
      </c>
    </row>
    <row r="7" spans="1:20" ht="72" customHeight="1" x14ac:dyDescent="0.25">
      <c r="A7" s="41"/>
      <c r="B7" s="49"/>
      <c r="C7" s="54"/>
      <c r="D7" s="26" t="s">
        <v>17</v>
      </c>
      <c r="E7" s="26" t="s">
        <v>18</v>
      </c>
      <c r="F7" s="26" t="s">
        <v>19</v>
      </c>
      <c r="G7" s="7" t="s">
        <v>17</v>
      </c>
      <c r="H7" s="7" t="s">
        <v>18</v>
      </c>
      <c r="I7" s="7" t="s">
        <v>19</v>
      </c>
      <c r="J7" s="7" t="s">
        <v>17</v>
      </c>
      <c r="K7" s="7" t="s">
        <v>18</v>
      </c>
      <c r="L7" s="7" t="s">
        <v>19</v>
      </c>
      <c r="M7" s="46"/>
      <c r="N7" s="46"/>
      <c r="O7" s="44"/>
      <c r="R7">
        <f>30349*16.2</f>
        <v>491653.8</v>
      </c>
      <c r="T7">
        <f>3690-4920</f>
        <v>-1230</v>
      </c>
    </row>
    <row r="8" spans="1:20" ht="27" customHeight="1" x14ac:dyDescent="0.25">
      <c r="A8" s="10"/>
      <c r="B8" s="8" t="s">
        <v>13</v>
      </c>
      <c r="C8" s="7">
        <v>3690</v>
      </c>
      <c r="D8" s="26">
        <f>C8/100*16</f>
        <v>590.4</v>
      </c>
      <c r="E8" s="26"/>
      <c r="F8" s="26">
        <f>SUM(F9,F10)</f>
        <v>244260000</v>
      </c>
      <c r="G8" s="7">
        <f>C8/100*24</f>
        <v>885.59999999999991</v>
      </c>
      <c r="H8" s="7"/>
      <c r="I8" s="7">
        <f t="shared" ref="I8:L8" si="0">SUM(I9:I10)</f>
        <v>638208000</v>
      </c>
      <c r="J8" s="7">
        <f>C8/100*60</f>
        <v>2214</v>
      </c>
      <c r="K8" s="7"/>
      <c r="L8" s="7">
        <f t="shared" si="0"/>
        <v>1147737600</v>
      </c>
      <c r="M8" s="7">
        <f>SUM(F8,I8,L8)</f>
        <v>2030205600</v>
      </c>
      <c r="N8" s="61">
        <f>1*M8</f>
        <v>2030205600</v>
      </c>
      <c r="O8" s="45"/>
      <c r="R8" s="28"/>
      <c r="T8">
        <f>T7/4920</f>
        <v>-0.25</v>
      </c>
    </row>
    <row r="9" spans="1:20" s="11" customFormat="1" ht="246.75" customHeight="1" x14ac:dyDescent="0.25">
      <c r="A9" s="1">
        <v>1</v>
      </c>
      <c r="B9" s="5" t="s">
        <v>5</v>
      </c>
      <c r="C9" s="9">
        <f>SUM(D9,G9,J9)</f>
        <v>2450.4</v>
      </c>
      <c r="D9" s="9">
        <v>590</v>
      </c>
      <c r="E9" s="9">
        <f>18000*23</f>
        <v>414000</v>
      </c>
      <c r="F9" s="9">
        <f>D9*E9</f>
        <v>244260000</v>
      </c>
      <c r="G9" s="27">
        <v>532</v>
      </c>
      <c r="H9" s="9">
        <f>15000*60</f>
        <v>900000</v>
      </c>
      <c r="I9" s="9">
        <f>H9*G9</f>
        <v>478800000</v>
      </c>
      <c r="J9" s="9">
        <f>J8/5*3</f>
        <v>1328.4</v>
      </c>
      <c r="K9" s="9">
        <f>0.9*12000*60</f>
        <v>648000</v>
      </c>
      <c r="L9" s="9">
        <f>K9*J9</f>
        <v>860803200</v>
      </c>
      <c r="M9" s="9">
        <f>SUM(F9,I9,L9)</f>
        <v>1583863200</v>
      </c>
      <c r="N9" s="30">
        <f>1*M9</f>
        <v>1583863200</v>
      </c>
      <c r="O9" s="14" t="s">
        <v>35</v>
      </c>
      <c r="R9" s="11">
        <f>0.75*4920</f>
        <v>3690</v>
      </c>
    </row>
    <row r="10" spans="1:20" s="11" customFormat="1" ht="205.5" customHeight="1" x14ac:dyDescent="0.25">
      <c r="A10" s="1">
        <v>2</v>
      </c>
      <c r="B10" s="5" t="s">
        <v>6</v>
      </c>
      <c r="C10" s="9">
        <f>SUM(G10,J10)</f>
        <v>1239.8399999999999</v>
      </c>
      <c r="D10" s="9"/>
      <c r="E10" s="9"/>
      <c r="F10" s="9"/>
      <c r="G10" s="9">
        <f>G8/5*2</f>
        <v>354.23999999999995</v>
      </c>
      <c r="H10" s="9">
        <f>0.5*H9</f>
        <v>450000</v>
      </c>
      <c r="I10" s="9">
        <f>H10*G10</f>
        <v>159407999.99999997</v>
      </c>
      <c r="J10" s="9">
        <f>J8/5*2</f>
        <v>885.6</v>
      </c>
      <c r="K10" s="9">
        <f>0.5*K9</f>
        <v>324000</v>
      </c>
      <c r="L10" s="9">
        <f>K10*J10</f>
        <v>286934400</v>
      </c>
      <c r="M10" s="9">
        <f>SUM(F10,I10,L10)</f>
        <v>446342400</v>
      </c>
      <c r="N10" s="30">
        <f>1*M10</f>
        <v>446342400</v>
      </c>
      <c r="O10" s="14" t="s">
        <v>36</v>
      </c>
    </row>
    <row r="11" spans="1:20" s="11" customFormat="1" ht="61.5" customHeight="1" x14ac:dyDescent="0.25">
      <c r="A11" s="50" t="s">
        <v>2</v>
      </c>
      <c r="B11" s="47" t="s">
        <v>8</v>
      </c>
      <c r="C11" s="46" t="s">
        <v>3</v>
      </c>
      <c r="D11" s="37" t="s">
        <v>32</v>
      </c>
      <c r="E11" s="37"/>
      <c r="F11" s="37"/>
      <c r="G11" s="37" t="s">
        <v>30</v>
      </c>
      <c r="H11" s="37"/>
      <c r="I11" s="37"/>
      <c r="J11" s="37" t="s">
        <v>31</v>
      </c>
      <c r="K11" s="37"/>
      <c r="L11" s="37"/>
      <c r="M11" s="46" t="s">
        <v>20</v>
      </c>
      <c r="N11" s="64" t="s">
        <v>41</v>
      </c>
      <c r="O11" s="34" t="s">
        <v>37</v>
      </c>
    </row>
    <row r="12" spans="1:20" s="11" customFormat="1" ht="66.75" customHeight="1" x14ac:dyDescent="0.25">
      <c r="A12" s="40"/>
      <c r="B12" s="48"/>
      <c r="C12" s="46"/>
      <c r="D12" s="26" t="s">
        <v>17</v>
      </c>
      <c r="E12" s="26" t="s">
        <v>18</v>
      </c>
      <c r="F12" s="26" t="s">
        <v>19</v>
      </c>
      <c r="G12" s="7" t="s">
        <v>17</v>
      </c>
      <c r="H12" s="7" t="s">
        <v>18</v>
      </c>
      <c r="I12" s="7" t="s">
        <v>19</v>
      </c>
      <c r="J12" s="7" t="s">
        <v>17</v>
      </c>
      <c r="K12" s="7" t="s">
        <v>18</v>
      </c>
      <c r="L12" s="7" t="s">
        <v>19</v>
      </c>
      <c r="M12" s="46"/>
      <c r="N12" s="64"/>
      <c r="O12" s="35"/>
    </row>
    <row r="13" spans="1:20" s="11" customFormat="1" ht="55.5" customHeight="1" x14ac:dyDescent="0.25">
      <c r="A13" s="41"/>
      <c r="B13" s="49"/>
      <c r="C13" s="9">
        <f>SUM(D13,G13,J13)</f>
        <v>3690</v>
      </c>
      <c r="D13" s="9">
        <v>590</v>
      </c>
      <c r="E13" s="38" t="s">
        <v>27</v>
      </c>
      <c r="F13" s="38"/>
      <c r="G13" s="9">
        <v>886</v>
      </c>
      <c r="H13" s="9">
        <f>(5*15000)+(0.5*15000*10)</f>
        <v>150000</v>
      </c>
      <c r="I13" s="9">
        <f>H13*G13</f>
        <v>132900000</v>
      </c>
      <c r="J13" s="9">
        <v>2214</v>
      </c>
      <c r="K13" s="9">
        <f>(5*12000)+(0.5*12000*5)</f>
        <v>90000</v>
      </c>
      <c r="L13" s="9">
        <f>K13*J13</f>
        <v>199260000</v>
      </c>
      <c r="M13" s="9">
        <f>SUM(I13,L13)</f>
        <v>332160000</v>
      </c>
      <c r="N13" s="62">
        <f>1*M13</f>
        <v>332160000</v>
      </c>
      <c r="O13" s="36"/>
    </row>
    <row r="14" spans="1:20" ht="25.5" customHeight="1" x14ac:dyDescent="0.25">
      <c r="A14" s="50" t="s">
        <v>7</v>
      </c>
      <c r="B14" s="47" t="s">
        <v>9</v>
      </c>
      <c r="C14" s="50" t="s">
        <v>3</v>
      </c>
      <c r="D14" s="37" t="s">
        <v>26</v>
      </c>
      <c r="E14" s="37"/>
      <c r="F14" s="37"/>
      <c r="G14" s="37" t="s">
        <v>24</v>
      </c>
      <c r="H14" s="37"/>
      <c r="I14" s="37"/>
      <c r="J14" s="37" t="s">
        <v>25</v>
      </c>
      <c r="K14" s="37"/>
      <c r="L14" s="37"/>
      <c r="M14" s="46" t="s">
        <v>20</v>
      </c>
      <c r="N14" s="64" t="s">
        <v>41</v>
      </c>
      <c r="O14" s="34" t="s">
        <v>38</v>
      </c>
    </row>
    <row r="15" spans="1:20" ht="57" customHeight="1" x14ac:dyDescent="0.25">
      <c r="A15" s="40"/>
      <c r="B15" s="48"/>
      <c r="C15" s="41"/>
      <c r="D15" s="26" t="s">
        <v>17</v>
      </c>
      <c r="E15" s="26" t="s">
        <v>18</v>
      </c>
      <c r="F15" s="26" t="s">
        <v>19</v>
      </c>
      <c r="G15" s="7" t="s">
        <v>17</v>
      </c>
      <c r="H15" s="7" t="s">
        <v>18</v>
      </c>
      <c r="I15" s="7" t="s">
        <v>19</v>
      </c>
      <c r="J15" s="7" t="s">
        <v>17</v>
      </c>
      <c r="K15" s="7" t="s">
        <v>18</v>
      </c>
      <c r="L15" s="7" t="s">
        <v>19</v>
      </c>
      <c r="M15" s="46"/>
      <c r="N15" s="64"/>
      <c r="O15" s="35"/>
    </row>
    <row r="16" spans="1:20" s="11" customFormat="1" ht="63.75" customHeight="1" x14ac:dyDescent="0.25">
      <c r="A16" s="41"/>
      <c r="B16" s="49"/>
      <c r="C16" s="9">
        <f>SUM(D16,G16,J16)</f>
        <v>3690</v>
      </c>
      <c r="D16" s="9">
        <v>590</v>
      </c>
      <c r="E16" s="38" t="s">
        <v>27</v>
      </c>
      <c r="F16" s="38"/>
      <c r="G16" s="9">
        <v>886</v>
      </c>
      <c r="H16" s="9">
        <f>5*15000*5</f>
        <v>375000</v>
      </c>
      <c r="I16" s="9">
        <f>H16*G16</f>
        <v>332250000</v>
      </c>
      <c r="J16" s="9">
        <v>2214</v>
      </c>
      <c r="K16" s="9">
        <f>4*12000*10</f>
        <v>480000</v>
      </c>
      <c r="L16" s="9">
        <f>K16*J16</f>
        <v>1062720000</v>
      </c>
      <c r="M16" s="9">
        <f>SUM(I16,L16)</f>
        <v>1394970000</v>
      </c>
      <c r="N16" s="62">
        <f>1*M16</f>
        <v>1394970000</v>
      </c>
      <c r="O16" s="36"/>
    </row>
    <row r="17" spans="1:15" s="17" customFormat="1" ht="48" customHeight="1" x14ac:dyDescent="0.25">
      <c r="A17" s="51" t="s">
        <v>22</v>
      </c>
      <c r="B17" s="53"/>
      <c r="C17" s="7">
        <v>3690</v>
      </c>
      <c r="D17" s="26"/>
      <c r="E17" s="26"/>
      <c r="F17" s="26">
        <f>SUM(F8,E13,E16)</f>
        <v>244260000</v>
      </c>
      <c r="G17" s="7"/>
      <c r="H17" s="7"/>
      <c r="I17" s="7">
        <f>SUM(I8,I13,I16)</f>
        <v>1103358000</v>
      </c>
      <c r="J17" s="7"/>
      <c r="K17" s="7"/>
      <c r="L17" s="7">
        <f t="shared" ref="L17:M17" si="1">SUM(L8,L13,L16)</f>
        <v>2409717600</v>
      </c>
      <c r="M17" s="7">
        <f t="shared" si="1"/>
        <v>3757335600</v>
      </c>
      <c r="N17" s="29">
        <f>SUM(N8,N13,N16)</f>
        <v>3757335600</v>
      </c>
      <c r="O17" s="16"/>
    </row>
    <row r="18" spans="1:15" s="17" customFormat="1" ht="48" customHeight="1" x14ac:dyDescent="0.25">
      <c r="A18" s="31"/>
      <c r="B18" s="31"/>
      <c r="C18" s="32"/>
      <c r="D18" s="32"/>
      <c r="E18" s="32"/>
      <c r="F18" s="32"/>
      <c r="G18" s="32"/>
      <c r="H18" s="32"/>
      <c r="I18" s="32"/>
      <c r="J18" s="32"/>
      <c r="K18" s="32"/>
      <c r="L18" s="32"/>
      <c r="M18" s="32"/>
      <c r="N18" s="32"/>
      <c r="O18" s="33"/>
    </row>
    <row r="19" spans="1:15" s="17" customFormat="1" ht="48" customHeight="1" x14ac:dyDescent="0.25">
      <c r="A19" s="31"/>
      <c r="B19" s="31"/>
      <c r="C19" s="32"/>
      <c r="D19" s="32"/>
      <c r="E19" s="32"/>
      <c r="F19" s="32"/>
      <c r="G19" s="32"/>
      <c r="H19" s="32"/>
      <c r="I19" s="32"/>
      <c r="J19" s="32"/>
      <c r="K19" s="32"/>
      <c r="L19" s="32"/>
      <c r="M19" s="32"/>
      <c r="N19" s="32"/>
      <c r="O19" s="33"/>
    </row>
    <row r="20" spans="1:15" s="17" customFormat="1" ht="48" customHeight="1" x14ac:dyDescent="0.25">
      <c r="A20" s="31"/>
      <c r="B20" s="31"/>
      <c r="C20" s="32"/>
      <c r="D20" s="32"/>
      <c r="E20" s="32"/>
      <c r="F20" s="32"/>
      <c r="G20" s="32"/>
      <c r="H20" s="32"/>
      <c r="I20" s="32"/>
      <c r="J20" s="32"/>
      <c r="K20" s="32"/>
      <c r="L20" s="32"/>
      <c r="M20" s="32"/>
      <c r="N20" s="32"/>
      <c r="O20" s="33"/>
    </row>
    <row r="21" spans="1:15" s="17" customFormat="1" ht="48" customHeight="1" x14ac:dyDescent="0.25">
      <c r="A21" s="31"/>
      <c r="B21" s="31"/>
      <c r="C21" s="32"/>
      <c r="D21" s="32"/>
      <c r="E21" s="32"/>
      <c r="F21" s="32"/>
      <c r="G21" s="32"/>
      <c r="H21" s="32"/>
      <c r="I21" s="32"/>
      <c r="J21" s="32"/>
      <c r="K21" s="32"/>
      <c r="L21" s="32"/>
      <c r="M21" s="32"/>
      <c r="N21" s="32"/>
      <c r="O21" s="33"/>
    </row>
    <row r="22" spans="1:15" s="17" customFormat="1" ht="48" customHeight="1" x14ac:dyDescent="0.25">
      <c r="A22" s="31"/>
      <c r="B22" s="31"/>
      <c r="C22" s="32"/>
      <c r="D22" s="32"/>
      <c r="E22" s="32"/>
      <c r="F22" s="32"/>
      <c r="G22" s="32"/>
      <c r="H22" s="32"/>
      <c r="I22" s="32"/>
      <c r="J22" s="32"/>
      <c r="K22" s="32"/>
      <c r="L22" s="32"/>
      <c r="M22" s="32"/>
      <c r="N22" s="32"/>
      <c r="O22" s="33"/>
    </row>
    <row r="23" spans="1:15" s="17" customFormat="1" ht="48" customHeight="1" x14ac:dyDescent="0.25">
      <c r="A23" s="31"/>
      <c r="B23" s="31"/>
      <c r="C23" s="32"/>
      <c r="D23" s="32"/>
      <c r="E23" s="32"/>
      <c r="F23" s="32"/>
      <c r="G23" s="32"/>
      <c r="H23" s="32"/>
      <c r="I23" s="32"/>
      <c r="J23" s="32"/>
      <c r="K23" s="32"/>
      <c r="L23" s="32"/>
      <c r="M23" s="32"/>
      <c r="N23" s="32"/>
      <c r="O23" s="33"/>
    </row>
    <row r="24" spans="1:15" s="17" customFormat="1" ht="48" customHeight="1" x14ac:dyDescent="0.25">
      <c r="A24" s="31"/>
      <c r="B24" s="31"/>
      <c r="C24" s="32"/>
      <c r="D24" s="32"/>
      <c r="E24" s="32"/>
      <c r="F24" s="32"/>
      <c r="G24" s="32"/>
      <c r="H24" s="32"/>
      <c r="I24" s="32"/>
      <c r="J24" s="32"/>
      <c r="K24" s="32"/>
      <c r="L24" s="32"/>
      <c r="M24" s="32"/>
      <c r="N24" s="32"/>
      <c r="O24" s="33"/>
    </row>
    <row r="25" spans="1:15" s="17" customFormat="1" ht="48" customHeight="1" x14ac:dyDescent="0.25">
      <c r="A25" s="31"/>
      <c r="B25" s="31"/>
      <c r="C25" s="32"/>
      <c r="D25" s="32"/>
      <c r="E25" s="32"/>
      <c r="F25" s="32"/>
      <c r="G25" s="32"/>
      <c r="H25" s="32"/>
      <c r="I25" s="32"/>
      <c r="J25" s="32"/>
      <c r="K25" s="32"/>
      <c r="L25" s="32"/>
      <c r="M25" s="32"/>
      <c r="N25" s="32"/>
      <c r="O25" s="33"/>
    </row>
    <row r="26" spans="1:15" s="17" customFormat="1" ht="48" customHeight="1" x14ac:dyDescent="0.25">
      <c r="A26" s="31"/>
      <c r="B26" s="31"/>
      <c r="C26" s="32"/>
      <c r="D26" s="32"/>
      <c r="E26" s="32"/>
      <c r="F26" s="32"/>
      <c r="G26" s="32"/>
      <c r="H26" s="32"/>
      <c r="I26" s="32"/>
      <c r="J26" s="32"/>
      <c r="K26" s="32"/>
      <c r="L26" s="32"/>
      <c r="M26" s="32">
        <v>784410000</v>
      </c>
      <c r="N26" s="32"/>
      <c r="O26" s="33"/>
    </row>
    <row r="27" spans="1:15" s="17" customFormat="1" ht="48" customHeight="1" x14ac:dyDescent="0.25">
      <c r="A27" s="31"/>
      <c r="B27" s="31"/>
      <c r="C27" s="32"/>
      <c r="D27" s="32"/>
      <c r="E27" s="32"/>
      <c r="F27" s="32"/>
      <c r="G27" s="32"/>
      <c r="H27" s="32"/>
      <c r="I27" s="32"/>
      <c r="J27" s="32"/>
      <c r="K27" s="32"/>
      <c r="L27" s="32"/>
      <c r="M27" s="32"/>
      <c r="N27" s="32"/>
      <c r="O27" s="33"/>
    </row>
    <row r="28" spans="1:15" s="17" customFormat="1" ht="48" customHeight="1" x14ac:dyDescent="0.25">
      <c r="A28" s="31"/>
      <c r="B28" s="31"/>
      <c r="C28" s="32"/>
      <c r="D28" s="32"/>
      <c r="E28" s="32"/>
      <c r="F28" s="32"/>
      <c r="G28" s="32"/>
      <c r="H28" s="32"/>
      <c r="I28" s="32"/>
      <c r="J28" s="32"/>
      <c r="K28" s="32"/>
      <c r="L28" s="32"/>
      <c r="M28" s="32">
        <f>SUM(M17,M26)</f>
        <v>4541745600</v>
      </c>
      <c r="N28" s="32"/>
      <c r="O28" s="33"/>
    </row>
    <row r="29" spans="1:15" s="17" customFormat="1" ht="48" customHeight="1" x14ac:dyDescent="0.25">
      <c r="A29" s="31"/>
      <c r="B29" s="31"/>
      <c r="C29" s="32"/>
      <c r="D29" s="32"/>
      <c r="E29" s="32"/>
      <c r="F29" s="32"/>
      <c r="G29" s="32"/>
      <c r="H29" s="32"/>
      <c r="I29" s="32"/>
      <c r="J29" s="32"/>
      <c r="K29" s="32"/>
      <c r="L29" s="32"/>
      <c r="M29" s="32"/>
      <c r="N29" s="32"/>
      <c r="O29" s="33"/>
    </row>
    <row r="30" spans="1:15" s="17" customFormat="1" ht="48" customHeight="1" x14ac:dyDescent="0.25">
      <c r="A30" s="31"/>
      <c r="B30" s="31"/>
      <c r="C30" s="32"/>
      <c r="D30" s="32"/>
      <c r="E30" s="32"/>
      <c r="F30" s="32"/>
      <c r="G30" s="32"/>
      <c r="H30" s="32"/>
      <c r="I30" s="32"/>
      <c r="J30" s="32"/>
      <c r="K30" s="32"/>
      <c r="L30" s="32"/>
      <c r="M30" s="32"/>
      <c r="N30" s="32"/>
      <c r="O30" s="33"/>
    </row>
    <row r="31" spans="1:15" s="17" customFormat="1" ht="48" customHeight="1" x14ac:dyDescent="0.25">
      <c r="A31" s="31"/>
      <c r="B31" s="31"/>
      <c r="C31" s="32"/>
      <c r="D31" s="32"/>
      <c r="E31" s="32"/>
      <c r="F31" s="32"/>
      <c r="G31" s="32"/>
      <c r="H31" s="32"/>
      <c r="I31" s="32"/>
      <c r="J31" s="32"/>
      <c r="K31" s="32"/>
      <c r="L31" s="32"/>
      <c r="M31" s="32"/>
      <c r="N31" s="32"/>
      <c r="O31" s="33"/>
    </row>
    <row r="32" spans="1:15" s="17" customFormat="1" ht="48" customHeight="1" x14ac:dyDescent="0.25">
      <c r="A32" s="31"/>
      <c r="B32" s="31"/>
      <c r="C32" s="32"/>
      <c r="D32" s="32"/>
      <c r="E32" s="32"/>
      <c r="F32" s="32"/>
      <c r="G32" s="32"/>
      <c r="H32" s="32"/>
      <c r="I32" s="32"/>
      <c r="J32" s="32"/>
      <c r="K32" s="32"/>
      <c r="L32" s="32"/>
      <c r="M32" s="32"/>
      <c r="N32" s="32"/>
      <c r="O32" s="33"/>
    </row>
    <row r="33" spans="1:15" s="11" customFormat="1" ht="30" customHeight="1" x14ac:dyDescent="0.25">
      <c r="A33" s="19"/>
      <c r="B33" s="19"/>
      <c r="C33" s="20"/>
      <c r="D33" s="20"/>
      <c r="E33" s="20"/>
      <c r="F33" s="20"/>
      <c r="G33" s="20"/>
      <c r="H33" s="20"/>
      <c r="I33" s="20"/>
      <c r="J33" s="20"/>
      <c r="K33" s="20"/>
      <c r="L33" s="20"/>
      <c r="M33" s="20"/>
      <c r="N33" s="20"/>
      <c r="O33" s="21"/>
    </row>
    <row r="34" spans="1:15" s="11" customFormat="1" ht="30" customHeight="1" x14ac:dyDescent="0.25">
      <c r="A34" s="19"/>
      <c r="B34" s="19"/>
      <c r="C34" s="20"/>
      <c r="D34" s="20"/>
      <c r="E34" s="20"/>
      <c r="F34" s="20"/>
      <c r="G34" s="20"/>
      <c r="H34" s="20"/>
      <c r="I34" s="20"/>
      <c r="J34" s="20"/>
      <c r="K34" s="20"/>
      <c r="L34" s="20"/>
      <c r="M34" s="20">
        <v>785970000</v>
      </c>
      <c r="N34" s="20"/>
      <c r="O34" s="21"/>
    </row>
    <row r="35" spans="1:15" s="11" customFormat="1" ht="30" customHeight="1" x14ac:dyDescent="0.25">
      <c r="A35" s="19"/>
      <c r="B35" s="19"/>
      <c r="C35" s="20"/>
      <c r="D35" s="20"/>
      <c r="E35" s="20"/>
      <c r="F35" s="20"/>
      <c r="G35" s="20"/>
      <c r="H35" s="20"/>
      <c r="I35" s="20"/>
      <c r="J35" s="20"/>
      <c r="K35" s="20"/>
      <c r="L35" s="20"/>
      <c r="M35" s="20">
        <f>SUM(M17,M34)</f>
        <v>4543305600</v>
      </c>
      <c r="N35" s="20"/>
      <c r="O35" s="21"/>
    </row>
    <row r="36" spans="1:15" s="11" customFormat="1" ht="30" customHeight="1" x14ac:dyDescent="0.25">
      <c r="A36" s="19"/>
      <c r="B36" s="19"/>
      <c r="C36" s="20"/>
      <c r="D36" s="20"/>
      <c r="E36" s="20"/>
      <c r="F36" s="20"/>
      <c r="G36" s="20"/>
      <c r="H36" s="20"/>
      <c r="I36" s="20"/>
      <c r="J36" s="20"/>
      <c r="K36" s="20"/>
      <c r="L36" s="20"/>
      <c r="M36" s="20"/>
      <c r="N36" s="20"/>
      <c r="O36" s="21"/>
    </row>
    <row r="40" spans="1:15" x14ac:dyDescent="0.25">
      <c r="B40" s="2">
        <v>3320</v>
      </c>
    </row>
  </sheetData>
  <mergeCells count="33">
    <mergeCell ref="B14:B16"/>
    <mergeCell ref="A14:A16"/>
    <mergeCell ref="C14:C15"/>
    <mergeCell ref="D5:M5"/>
    <mergeCell ref="A17:B17"/>
    <mergeCell ref="A11:A13"/>
    <mergeCell ref="B6:B7"/>
    <mergeCell ref="C6:C7"/>
    <mergeCell ref="B11:B13"/>
    <mergeCell ref="M11:M12"/>
    <mergeCell ref="C11:C12"/>
    <mergeCell ref="J11:L11"/>
    <mergeCell ref="J14:L14"/>
    <mergeCell ref="M14:M15"/>
    <mergeCell ref="D6:F6"/>
    <mergeCell ref="D11:F11"/>
    <mergeCell ref="A2:O2"/>
    <mergeCell ref="G6:I6"/>
    <mergeCell ref="J6:L6"/>
    <mergeCell ref="A6:A7"/>
    <mergeCell ref="B3:O3"/>
    <mergeCell ref="O5:O8"/>
    <mergeCell ref="M6:M7"/>
    <mergeCell ref="N5:N7"/>
    <mergeCell ref="O11:O13"/>
    <mergeCell ref="G14:I14"/>
    <mergeCell ref="D14:F14"/>
    <mergeCell ref="E13:F13"/>
    <mergeCell ref="E16:F16"/>
    <mergeCell ref="O14:O16"/>
    <mergeCell ref="G11:I11"/>
    <mergeCell ref="N11:N12"/>
    <mergeCell ref="N14:N15"/>
  </mergeCells>
  <pageMargins left="0" right="0" top="0.01" bottom="0" header="0.21" footer="0.2"/>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4" workbookViewId="0">
      <selection activeCell="E12" sqref="E12"/>
    </sheetView>
  </sheetViews>
  <sheetFormatPr defaultRowHeight="15" x14ac:dyDescent="0.25"/>
  <cols>
    <col min="1" max="1" width="11.7109375" style="2" customWidth="1"/>
    <col min="2" max="2" width="9.5703125" style="4" customWidth="1"/>
    <col min="3" max="3" width="13.85546875" style="4" customWidth="1"/>
    <col min="4" max="4" width="15.42578125" style="4" customWidth="1"/>
    <col min="5" max="5" width="12.140625" style="4" customWidth="1"/>
    <col min="6" max="6" width="15.7109375" style="4" customWidth="1"/>
    <col min="7" max="7" width="18.42578125" style="4" customWidth="1"/>
    <col min="8" max="8" width="14.5703125" style="4" customWidth="1"/>
    <col min="9" max="9" width="16.5703125" style="4" customWidth="1"/>
    <col min="10" max="10" width="17.28515625" style="4" customWidth="1"/>
    <col min="11" max="11" width="16.42578125" style="4" customWidth="1"/>
    <col min="12" max="12" width="52.140625" style="6" customWidth="1"/>
  </cols>
  <sheetData>
    <row r="1" spans="1:12" x14ac:dyDescent="0.25">
      <c r="L1" s="13"/>
    </row>
    <row r="2" spans="1:12" ht="46.5" customHeight="1" x14ac:dyDescent="0.25">
      <c r="A2" s="56" t="s">
        <v>40</v>
      </c>
      <c r="B2" s="56"/>
      <c r="C2" s="56"/>
      <c r="D2" s="56"/>
      <c r="E2" s="56"/>
      <c r="F2" s="56"/>
      <c r="G2" s="56"/>
      <c r="H2" s="56"/>
      <c r="I2" s="56"/>
      <c r="J2" s="56"/>
      <c r="K2" s="56"/>
      <c r="L2" s="56"/>
    </row>
    <row r="3" spans="1:12" ht="18" customHeight="1" x14ac:dyDescent="0.25">
      <c r="A3" s="55"/>
      <c r="B3" s="55"/>
      <c r="C3" s="55"/>
      <c r="D3" s="55"/>
      <c r="E3" s="55"/>
      <c r="F3" s="55"/>
      <c r="G3" s="55"/>
      <c r="H3" s="55"/>
      <c r="I3" s="55"/>
      <c r="J3" s="55"/>
      <c r="K3" s="55"/>
      <c r="L3" s="55"/>
    </row>
    <row r="4" spans="1:12" ht="125.25" customHeight="1" x14ac:dyDescent="0.25">
      <c r="A4" s="42" t="s">
        <v>39</v>
      </c>
      <c r="B4" s="42"/>
      <c r="C4" s="42"/>
      <c r="D4" s="42"/>
      <c r="E4" s="42"/>
      <c r="F4" s="42"/>
      <c r="G4" s="42"/>
      <c r="H4" s="42"/>
      <c r="I4" s="42"/>
      <c r="J4" s="42"/>
      <c r="K4" s="42"/>
      <c r="L4" s="42"/>
    </row>
    <row r="5" spans="1:12" ht="23.25" customHeight="1" x14ac:dyDescent="0.25">
      <c r="A5" s="22"/>
      <c r="B5" s="22"/>
      <c r="C5" s="22"/>
      <c r="D5" s="22"/>
      <c r="E5" s="22"/>
      <c r="F5" s="22"/>
      <c r="G5" s="22"/>
      <c r="H5" s="22"/>
      <c r="I5" s="22"/>
      <c r="J5" s="22"/>
      <c r="K5" s="22"/>
      <c r="L5" s="22"/>
    </row>
    <row r="6" spans="1:12" ht="38.25" customHeight="1" x14ac:dyDescent="0.25">
      <c r="A6" s="43" t="s">
        <v>16</v>
      </c>
      <c r="B6" s="57" t="s">
        <v>14</v>
      </c>
      <c r="C6" s="57"/>
      <c r="D6" s="57"/>
      <c r="E6" s="57"/>
      <c r="F6" s="57"/>
      <c r="G6" s="57"/>
      <c r="H6" s="57"/>
      <c r="I6" s="57"/>
      <c r="J6" s="57"/>
      <c r="K6" s="63" t="s">
        <v>41</v>
      </c>
      <c r="L6" s="58" t="s">
        <v>4</v>
      </c>
    </row>
    <row r="7" spans="1:12" ht="27.75" customHeight="1" x14ac:dyDescent="0.25">
      <c r="A7" s="44"/>
      <c r="B7" s="37" t="s">
        <v>10</v>
      </c>
      <c r="C7" s="37"/>
      <c r="D7" s="37"/>
      <c r="E7" s="37"/>
      <c r="F7" s="37"/>
      <c r="G7" s="37"/>
      <c r="H7" s="37" t="s">
        <v>21</v>
      </c>
      <c r="I7" s="37"/>
      <c r="J7" s="37" t="s">
        <v>23</v>
      </c>
      <c r="K7" s="65"/>
      <c r="L7" s="59"/>
    </row>
    <row r="8" spans="1:12" ht="33.75" customHeight="1" x14ac:dyDescent="0.25">
      <c r="A8" s="44"/>
      <c r="B8" s="37" t="s">
        <v>5</v>
      </c>
      <c r="C8" s="37"/>
      <c r="D8" s="37"/>
      <c r="E8" s="37" t="s">
        <v>6</v>
      </c>
      <c r="F8" s="37"/>
      <c r="G8" s="37"/>
      <c r="H8" s="37"/>
      <c r="I8" s="37"/>
      <c r="J8" s="37"/>
      <c r="K8" s="65"/>
      <c r="L8" s="59"/>
    </row>
    <row r="9" spans="1:12" ht="66.75" customHeight="1" x14ac:dyDescent="0.25">
      <c r="A9" s="45"/>
      <c r="B9" s="7" t="s">
        <v>17</v>
      </c>
      <c r="C9" s="7" t="s">
        <v>18</v>
      </c>
      <c r="D9" s="7" t="s">
        <v>19</v>
      </c>
      <c r="E9" s="7" t="s">
        <v>17</v>
      </c>
      <c r="F9" s="7" t="s">
        <v>18</v>
      </c>
      <c r="G9" s="7" t="s">
        <v>19</v>
      </c>
      <c r="H9" s="7" t="s">
        <v>18</v>
      </c>
      <c r="I9" s="7" t="s">
        <v>19</v>
      </c>
      <c r="J9" s="37"/>
      <c r="K9" s="66"/>
      <c r="L9" s="60"/>
    </row>
    <row r="10" spans="1:12" s="11" customFormat="1" ht="170.25" customHeight="1" x14ac:dyDescent="0.25">
      <c r="A10" s="24">
        <v>1230</v>
      </c>
      <c r="B10" s="9">
        <v>665</v>
      </c>
      <c r="C10" s="9">
        <f>0.8*11000*60</f>
        <v>528000</v>
      </c>
      <c r="D10" s="9">
        <f>C10*B10</f>
        <v>351120000</v>
      </c>
      <c r="E10" s="9">
        <f>A10-B10</f>
        <v>565</v>
      </c>
      <c r="F10" s="9">
        <f>0.4*11000*60</f>
        <v>264000</v>
      </c>
      <c r="G10" s="9">
        <f>F10*E10</f>
        <v>149160000</v>
      </c>
      <c r="H10" s="9">
        <f>1.5*11000*14</f>
        <v>231000</v>
      </c>
      <c r="I10" s="9">
        <f>H10*A10</f>
        <v>284130000</v>
      </c>
      <c r="J10" s="23">
        <f>SUM(D10,G10,I10)</f>
        <v>784410000</v>
      </c>
      <c r="K10" s="23">
        <f>1*J10</f>
        <v>784410000</v>
      </c>
      <c r="L10" s="14" t="s">
        <v>42</v>
      </c>
    </row>
    <row r="13" spans="1:12" x14ac:dyDescent="0.25">
      <c r="D13" s="25"/>
    </row>
  </sheetData>
  <mergeCells count="12">
    <mergeCell ref="A3:L3"/>
    <mergeCell ref="A4:L4"/>
    <mergeCell ref="A2:L2"/>
    <mergeCell ref="B6:J6"/>
    <mergeCell ref="A6:A9"/>
    <mergeCell ref="J7:J9"/>
    <mergeCell ref="H7:I8"/>
    <mergeCell ref="L6:L9"/>
    <mergeCell ref="B7:G7"/>
    <mergeCell ref="B8:D8"/>
    <mergeCell ref="E8:G8"/>
    <mergeCell ref="K6:K9"/>
  </mergeCells>
  <pageMargins left="0" right="0" top="0.26" bottom="0.2" header="0.21" footer="0.2"/>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Nghỉ hưu trước tuổi</vt:lpstr>
      <vt:lpstr>Thôi việc</vt:lpstr>
      <vt:lpstr>'Nghỉ hưu trước tuổi'!Print_Titles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2025-02-04T11:04:48Z</cp:lastPrinted>
  <dcterms:created xsi:type="dcterms:W3CDTF">2024-12-07T02:38:25Z</dcterms:created>
  <dcterms:modified xsi:type="dcterms:W3CDTF">2025-02-04T11:09:48Z</dcterms:modified>
</cp:coreProperties>
</file>